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05" windowWidth="13365" windowHeight="11295" activeTab="0"/>
  </bookViews>
  <sheets>
    <sheet name="Frame Rate Calculator" sheetId="1" r:id="rId1"/>
  </sheets>
  <definedNames>
    <definedName name="cammegapixelperf">'Frame Rate Calculator'!$J$32:$L$39</definedName>
    <definedName name="compr">'Frame Rate Calculator'!$C$14</definedName>
    <definedName name="height">'Frame Rate Calculator'!$D$9</definedName>
    <definedName name="IQeye">'Frame Rate Calculator'!$C$6</definedName>
    <definedName name="lookuppixelsperbyte">'Frame Rate Calculator'!$K$42:$N$53</definedName>
    <definedName name="pixelsperbyte">'Frame Rate Calculator'!$L$60</definedName>
    <definedName name="usermegapixels">'Frame Rate Calculator'!$K$56</definedName>
    <definedName name="utilization">'Frame Rate Calculator'!$C$33</definedName>
    <definedName name="width">'Frame Rate Calculator'!$C$9</definedName>
  </definedNames>
  <calcPr fullCalcOnLoad="1"/>
</workbook>
</file>

<file path=xl/sharedStrings.xml><?xml version="1.0" encoding="utf-8"?>
<sst xmlns="http://schemas.openxmlformats.org/spreadsheetml/2006/main" count="175" uniqueCount="133">
  <si>
    <t>images per second</t>
  </si>
  <si>
    <t>These values assume an average scene complexity.  Actuals may vary considerably, see the charts below</t>
  </si>
  <si>
    <t>Lookup table, max imager rate and megapixels per second performance</t>
  </si>
  <si>
    <t>Calcs</t>
  </si>
  <si>
    <t>Pixels per Byte Numbers after JPEG Compression</t>
  </si>
  <si>
    <t>Kb/sec</t>
  </si>
  <si>
    <t>days to fill at max rate</t>
  </si>
  <si>
    <t>connection limit</t>
  </si>
  <si>
    <t>Frame Rate:</t>
  </si>
  <si>
    <t>Gigabytes</t>
  </si>
  <si>
    <t>hard drive</t>
  </si>
  <si>
    <t>days</t>
  </si>
  <si>
    <t>User Input Variables</t>
  </si>
  <si>
    <t>Kbits/sec</t>
  </si>
  <si>
    <t>Kbytes</t>
  </si>
  <si>
    <t>frames to fill hard drive</t>
  </si>
  <si>
    <t>hard coded variables</t>
  </si>
  <si>
    <t>IQeye</t>
  </si>
  <si>
    <t>frames per second</t>
  </si>
  <si>
    <t>average file</t>
  </si>
  <si>
    <t>window size</t>
  </si>
  <si>
    <t>xlow compression</t>
  </si>
  <si>
    <t>medium compression</t>
  </si>
  <si>
    <t>high compression</t>
  </si>
  <si>
    <t>xhigh compression</t>
  </si>
  <si>
    <t>15KB</t>
  </si>
  <si>
    <t>320 by 240</t>
  </si>
  <si>
    <t>25KB to 50KB</t>
  </si>
  <si>
    <t>12KB to 24KB</t>
  </si>
  <si>
    <t>9KB to 18KB</t>
  </si>
  <si>
    <t>6KB to 12KB</t>
  </si>
  <si>
    <t>40KB</t>
  </si>
  <si>
    <t>640 by 480</t>
  </si>
  <si>
    <t>100KB to 200KB</t>
  </si>
  <si>
    <t>35KB to 70KB</t>
  </si>
  <si>
    <t>22KB to 44KB</t>
  </si>
  <si>
    <t>80KB</t>
  </si>
  <si>
    <t>1024 by 768</t>
  </si>
  <si>
    <t>200KB to 400KB</t>
  </si>
  <si>
    <t>70KB to 140KB</t>
  </si>
  <si>
    <t>45KB to 90KB</t>
  </si>
  <si>
    <t>110KB</t>
  </si>
  <si>
    <t>300KB to 600KB</t>
  </si>
  <si>
    <t>60KB to 120KB</t>
  </si>
  <si>
    <t>40KB to 80KB</t>
  </si>
  <si>
    <t>Average pixels per Byte</t>
  </si>
  <si>
    <t>1.5 to 3</t>
  </si>
  <si>
    <t>3.2 to 6.4</t>
  </si>
  <si>
    <t>4.3 to 8.5</t>
  </si>
  <si>
    <t>6.4 to 12.8</t>
  </si>
  <si>
    <t>4.3 to 8.7</t>
  </si>
  <si>
    <t>7 to 14</t>
  </si>
  <si>
    <t>12.5 to 25</t>
  </si>
  <si>
    <t>2 to 4</t>
  </si>
  <si>
    <t>5.5 to 11</t>
  </si>
  <si>
    <t>8.5 to 17</t>
  </si>
  <si>
    <t>15 to 30</t>
  </si>
  <si>
    <t>6 to 12</t>
  </si>
  <si>
    <t>10 to 20</t>
  </si>
  <si>
    <t xml:space="preserve">Image compexity can be a major factor and this is the reason for the wide ranges above.  </t>
  </si>
  <si>
    <t>Cropping out trees and other 'busy' elements can dramatically reduce file sizes.</t>
  </si>
  <si>
    <t>Comparative JPEG file sizes, measured on disk in kilobytes</t>
  </si>
  <si>
    <t>10,000 to 100,000 for Ethernet, 34 for POTS modem, 128 for DSL, etc.</t>
  </si>
  <si>
    <t>target accuracy +/- 10%</t>
  </si>
  <si>
    <t xml:space="preserve"> </t>
  </si>
  <si>
    <t>Max Width</t>
  </si>
  <si>
    <t>Max Height</t>
  </si>
  <si>
    <t>1280 by 1024</t>
  </si>
  <si>
    <t>low</t>
  </si>
  <si>
    <t>maximagerrate</t>
  </si>
  <si>
    <t>med</t>
  </si>
  <si>
    <t>high</t>
  </si>
  <si>
    <t>1600 by 1200</t>
  </si>
  <si>
    <t>megapixels</t>
  </si>
  <si>
    <t>user window</t>
  </si>
  <si>
    <t>database for pixels/byte</t>
  </si>
  <si>
    <t>lookup table, pixels per byte based on size</t>
  </si>
  <si>
    <t>user compression</t>
  </si>
  <si>
    <t>pixels per byte based on image size and compression</t>
  </si>
  <si>
    <t>single image size</t>
  </si>
  <si>
    <t>jpeg max processing</t>
  </si>
  <si>
    <t>megapixelspersec</t>
  </si>
  <si>
    <t>user camera IQeye</t>
  </si>
  <si>
    <t>max jpeg perf</t>
  </si>
  <si>
    <t>ips</t>
  </si>
  <si>
    <t>Kbytes/sec</t>
  </si>
  <si>
    <t>available bandwidth</t>
  </si>
  <si>
    <t>fps limit from imager</t>
  </si>
  <si>
    <t>limited max bandwidth</t>
  </si>
  <si>
    <t>ips limited bandwidth</t>
  </si>
  <si>
    <t>limited by bandwidth</t>
  </si>
  <si>
    <t>actual frame rate</t>
  </si>
  <si>
    <t>max camera, no connection bottleneck</t>
  </si>
  <si>
    <t>real ips</t>
  </si>
  <si>
    <t>real bandwidth</t>
  </si>
  <si>
    <t>this is equal to</t>
  </si>
  <si>
    <t>transmission network utilization maximum</t>
  </si>
  <si>
    <t>smaller</t>
  </si>
  <si>
    <t>seconds per image</t>
  </si>
  <si>
    <t>Archival, days to fill</t>
  </si>
  <si>
    <t>Bandwidth</t>
  </si>
  <si>
    <t>minutes</t>
  </si>
  <si>
    <t>there are 1440 minutes in 24 hours</t>
  </si>
  <si>
    <t>minutes per day event recording</t>
  </si>
  <si>
    <t>images per sec rate for archival</t>
  </si>
  <si>
    <t>days to fill (at ips and minutes per day above)</t>
  </si>
  <si>
    <t xml:space="preserve">round number from actual </t>
  </si>
  <si>
    <t>800 by 600</t>
  </si>
  <si>
    <t>revised 9-01-04</t>
  </si>
  <si>
    <t>valid width</t>
  </si>
  <si>
    <t>valid height</t>
  </si>
  <si>
    <t>valid cameras</t>
  </si>
  <si>
    <t>enter IQeye number</t>
  </si>
  <si>
    <t>2048 by 1536</t>
  </si>
  <si>
    <t>lookup table and interim calcs for valid entries</t>
  </si>
  <si>
    <r>
      <t>IQeye</t>
    </r>
    <r>
      <rPr>
        <sz val="18"/>
        <rFont val="ＭＳ Ｐゴシック"/>
        <family val="3"/>
      </rPr>
      <t>カメラにおけるフレームレートの計算式</t>
    </r>
  </si>
  <si>
    <t>正しい数値を求めるために、　お使いのカメラの最大イメージサイズを正確に入力してください。</t>
  </si>
  <si>
    <t>横</t>
  </si>
  <si>
    <t>縦</t>
  </si>
  <si>
    <t>（カメラの機種名を入力）</t>
  </si>
  <si>
    <t>イメージサイズ</t>
  </si>
  <si>
    <t>ピクセル数を入力</t>
  </si>
  <si>
    <t>圧縮レベル</t>
  </si>
  <si>
    <t>（low、med、highから選択）</t>
  </si>
  <si>
    <t>自動計算結果</t>
  </si>
  <si>
    <t>（およその数値です）</t>
  </si>
  <si>
    <t>フレームレート</t>
  </si>
  <si>
    <t>帯域</t>
  </si>
  <si>
    <t>１フレームの容量</t>
  </si>
  <si>
    <t>枚/秒</t>
  </si>
  <si>
    <r>
      <t>Kbits/</t>
    </r>
    <r>
      <rPr>
        <sz val="12"/>
        <rFont val="ＭＳ Ｐゴシック"/>
        <family val="3"/>
      </rPr>
      <t>秒</t>
    </r>
  </si>
  <si>
    <t>録画</t>
  </si>
  <si>
    <t>接続制限リミット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</si>
</sst>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0.0"/>
    <numFmt numFmtId="186" formatCode="_(* #,##0.0_);_(* \(#,##0.0\);_(* &quot;-&quot;??_);_(@_)"/>
    <numFmt numFmtId="187" formatCode="_(* #,##0.0_);_(* \(#,##0.0\);_(* &quot;-&quot;?_);_(@_)"/>
    <numFmt numFmtId="188" formatCode="0.000000"/>
    <numFmt numFmtId="189" formatCode="0.00000"/>
    <numFmt numFmtId="190" formatCode="0.0000"/>
    <numFmt numFmtId="191" formatCode="0.000"/>
    <numFmt numFmtId="192" formatCode="_(* #,##0.000_);_(* \(#,##0.000\);_(* &quot;-&quot;??_);_(@_)"/>
    <numFmt numFmtId="193" formatCode="0.000000000"/>
    <numFmt numFmtId="194" formatCode="0.0000000000"/>
    <numFmt numFmtId="195" formatCode="0.00000000"/>
    <numFmt numFmtId="196" formatCode="0.0000000"/>
  </numFmts>
  <fonts count="22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b/>
      <sz val="12"/>
      <name val="Geneva"/>
      <family val="2"/>
    </font>
    <font>
      <sz val="12"/>
      <name val="Geneva"/>
      <family val="2"/>
    </font>
    <font>
      <sz val="10"/>
      <name val="Geneva"/>
      <family val="2"/>
    </font>
    <font>
      <sz val="18"/>
      <name val="Geneva"/>
      <family val="2"/>
    </font>
    <font>
      <sz val="14"/>
      <name val="Geneva"/>
      <family val="2"/>
    </font>
    <font>
      <b/>
      <sz val="10"/>
      <name val="Geneva"/>
      <family val="2"/>
    </font>
    <font>
      <b/>
      <sz val="12"/>
      <color indexed="12"/>
      <name val="Geneva"/>
      <family val="2"/>
    </font>
    <font>
      <b/>
      <sz val="10"/>
      <color indexed="12"/>
      <name val="Geneva"/>
      <family val="2"/>
    </font>
    <font>
      <b/>
      <sz val="12"/>
      <color indexed="8"/>
      <name val="Geneva"/>
      <family val="2"/>
    </font>
    <font>
      <sz val="18"/>
      <color indexed="8"/>
      <name val="Geneva"/>
      <family val="2"/>
    </font>
    <font>
      <b/>
      <sz val="10"/>
      <color indexed="8"/>
      <name val="Geneva"/>
      <family val="2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85" fontId="7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185" fontId="7" fillId="0" borderId="0" xfId="0" applyNumberFormat="1" applyFont="1" applyBorder="1" applyAlignment="1">
      <alignment horizontal="right"/>
    </xf>
    <xf numFmtId="3" fontId="7" fillId="0" borderId="0" xfId="17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3" fontId="10" fillId="0" borderId="7" xfId="17" applyNumberFormat="1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185" fontId="0" fillId="0" borderId="0" xfId="0" applyNumberFormat="1" applyFont="1" applyBorder="1" applyAlignment="1">
      <alignment/>
    </xf>
    <xf numFmtId="3" fontId="0" fillId="0" borderId="0" xfId="17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17" applyNumberFormat="1" applyBorder="1" applyAlignment="1">
      <alignment/>
    </xf>
    <xf numFmtId="185" fontId="0" fillId="0" borderId="0" xfId="0" applyNumberFormat="1" applyFont="1" applyBorder="1" applyAlignment="1">
      <alignment horizontal="right"/>
    </xf>
    <xf numFmtId="184" fontId="0" fillId="0" borderId="0" xfId="17" applyNumberFormat="1" applyFont="1" applyBorder="1" applyAlignment="1">
      <alignment horizontal="right"/>
    </xf>
    <xf numFmtId="184" fontId="0" fillId="0" borderId="0" xfId="17" applyNumberFormat="1" applyAlignment="1">
      <alignment/>
    </xf>
    <xf numFmtId="183" fontId="0" fillId="0" borderId="0" xfId="17" applyNumberFormat="1" applyAlignment="1">
      <alignment/>
    </xf>
    <xf numFmtId="184" fontId="4" fillId="0" borderId="0" xfId="17" applyNumberFormat="1" applyFont="1" applyAlignment="1">
      <alignment/>
    </xf>
    <xf numFmtId="183" fontId="4" fillId="0" borderId="0" xfId="17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7" fillId="0" borderId="8" xfId="17" applyNumberFormat="1" applyFont="1" applyBorder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183" fontId="0" fillId="0" borderId="0" xfId="17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84" fontId="4" fillId="0" borderId="0" xfId="17" applyNumberFormat="1" applyFont="1" applyBorder="1" applyAlignment="1">
      <alignment/>
    </xf>
    <xf numFmtId="183" fontId="4" fillId="0" borderId="0" xfId="17" applyNumberFormat="1" applyFont="1" applyBorder="1" applyAlignment="1">
      <alignment/>
    </xf>
    <xf numFmtId="0" fontId="4" fillId="0" borderId="0" xfId="0" applyFont="1" applyAlignment="1">
      <alignment horizontal="center"/>
    </xf>
    <xf numFmtId="185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6" fillId="0" borderId="3" xfId="0" applyFont="1" applyBorder="1" applyAlignment="1">
      <alignment vertical="center"/>
    </xf>
    <xf numFmtId="3" fontId="7" fillId="0" borderId="2" xfId="17" applyNumberFormat="1" applyFont="1" applyBorder="1" applyAlignment="1">
      <alignment/>
    </xf>
    <xf numFmtId="0" fontId="6" fillId="0" borderId="5" xfId="0" applyFont="1" applyBorder="1" applyAlignment="1">
      <alignment vertical="center"/>
    </xf>
    <xf numFmtId="0" fontId="0" fillId="0" borderId="4" xfId="0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6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/>
    </xf>
    <xf numFmtId="183" fontId="0" fillId="0" borderId="0" xfId="17" applyAlignment="1">
      <alignment/>
    </xf>
    <xf numFmtId="183" fontId="0" fillId="0" borderId="0" xfId="0" applyNumberFormat="1" applyAlignment="1">
      <alignment/>
    </xf>
    <xf numFmtId="184" fontId="0" fillId="0" borderId="0" xfId="17" applyNumberFormat="1" applyAlignment="1">
      <alignment/>
    </xf>
    <xf numFmtId="0" fontId="0" fillId="0" borderId="0" xfId="0" applyAlignment="1">
      <alignment/>
    </xf>
    <xf numFmtId="185" fontId="7" fillId="0" borderId="8" xfId="0" applyNumberFormat="1" applyFont="1" applyBorder="1" applyAlignment="1">
      <alignment/>
    </xf>
    <xf numFmtId="0" fontId="0" fillId="0" borderId="6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8" xfId="0" applyBorder="1" applyAlignment="1">
      <alignment/>
    </xf>
    <xf numFmtId="183" fontId="13" fillId="0" borderId="0" xfId="15" applyNumberFormat="1" applyFont="1" applyBorder="1" applyAlignment="1">
      <alignment/>
    </xf>
    <xf numFmtId="184" fontId="13" fillId="0" borderId="0" xfId="17" applyNumberFormat="1" applyFont="1" applyBorder="1" applyAlignment="1">
      <alignment horizontal="right"/>
    </xf>
    <xf numFmtId="0" fontId="6" fillId="0" borderId="5" xfId="0" applyFont="1" applyBorder="1" applyAlignment="1">
      <alignment horizontal="right" wrapText="1"/>
    </xf>
    <xf numFmtId="184" fontId="7" fillId="0" borderId="0" xfId="17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9" fontId="10" fillId="0" borderId="7" xfId="15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/>
    </xf>
    <xf numFmtId="192" fontId="0" fillId="0" borderId="0" xfId="0" applyNumberFormat="1" applyAlignment="1">
      <alignment/>
    </xf>
    <xf numFmtId="191" fontId="0" fillId="0" borderId="0" xfId="0" applyNumberFormat="1" applyAlignment="1">
      <alignment/>
    </xf>
    <xf numFmtId="1" fontId="7" fillId="0" borderId="8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1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19" fillId="0" borderId="0" xfId="0" applyFont="1" applyAlignment="1" applyProtection="1">
      <alignment vertical="center"/>
      <protection/>
    </xf>
    <xf numFmtId="0" fontId="21" fillId="0" borderId="9" xfId="0" applyFont="1" applyBorder="1" applyAlignment="1">
      <alignment horizontal="left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17" fillId="0" borderId="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 topLeftCell="A1">
      <selection activeCell="F38" sqref="F38"/>
    </sheetView>
  </sheetViews>
  <sheetFormatPr defaultColWidth="9.00390625" defaultRowHeight="12"/>
  <cols>
    <col min="1" max="1" width="2.875" style="0" customWidth="1"/>
    <col min="2" max="2" width="30.25390625" style="0" customWidth="1"/>
    <col min="3" max="3" width="22.875" style="0" customWidth="1"/>
    <col min="4" max="4" width="20.25390625" style="0" customWidth="1"/>
    <col min="5" max="5" width="24.25390625" style="0" customWidth="1"/>
    <col min="6" max="6" width="21.25390625" style="0" customWidth="1"/>
    <col min="7" max="7" width="16.125" style="0" customWidth="1"/>
    <col min="8" max="8" width="14.25390625" style="0" customWidth="1"/>
    <col min="9" max="9" width="14.25390625" style="0" hidden="1" customWidth="1"/>
    <col min="10" max="10" width="18.75390625" style="0" hidden="1" customWidth="1"/>
    <col min="11" max="11" width="21.75390625" style="0" hidden="1" customWidth="1"/>
    <col min="12" max="12" width="17.125" style="0" hidden="1" customWidth="1"/>
    <col min="13" max="13" width="15.875" style="0" hidden="1" customWidth="1"/>
    <col min="14" max="14" width="14.00390625" style="0" hidden="1" customWidth="1"/>
    <col min="15" max="16384" width="11.375" style="0" customWidth="1"/>
  </cols>
  <sheetData>
    <row r="1" spans="2:10" ht="27" customHeight="1">
      <c r="B1" s="26" t="s">
        <v>115</v>
      </c>
      <c r="J1" t="s">
        <v>114</v>
      </c>
    </row>
    <row r="2" spans="2:12" ht="27" customHeight="1">
      <c r="B2" s="101" t="s">
        <v>116</v>
      </c>
      <c r="J2" s="67" t="b">
        <f>ISERROR(J3)</f>
        <v>0</v>
      </c>
      <c r="K2" s="67" t="b">
        <f>ISERROR(K3)</f>
        <v>0</v>
      </c>
      <c r="L2" s="67" t="b">
        <f>ISERROR(L3)</f>
        <v>0</v>
      </c>
    </row>
    <row r="3" spans="2:12" ht="27" customHeight="1" thickBot="1">
      <c r="B3" s="27"/>
      <c r="C3" s="33"/>
      <c r="J3" s="32" t="str">
        <f>VLOOKUP(IQeye,J5:M13,4,FALSE)</f>
        <v>enter IQeye number</v>
      </c>
      <c r="K3" s="99">
        <f>VLOOKUP(IQeye,J4:M13,2,FALSE)</f>
        <v>1600</v>
      </c>
      <c r="L3" s="100">
        <f>VLOOKUP(IQeye,J4:M13,3,FALSE)</f>
        <v>1200</v>
      </c>
    </row>
    <row r="4" spans="3:12" ht="18" customHeight="1" thickBot="1">
      <c r="C4" s="24" t="s">
        <v>12</v>
      </c>
      <c r="E4" s="33"/>
      <c r="F4" s="33"/>
      <c r="G4" s="33"/>
      <c r="J4" s="1" t="s">
        <v>111</v>
      </c>
      <c r="K4" s="1" t="s">
        <v>109</v>
      </c>
      <c r="L4" s="1" t="s">
        <v>110</v>
      </c>
    </row>
    <row r="5" spans="3:13" ht="12" customHeight="1" thickBot="1">
      <c r="C5" s="33"/>
      <c r="E5" s="33"/>
      <c r="F5" s="33"/>
      <c r="G5" s="33"/>
      <c r="H5" s="33"/>
      <c r="J5" s="3">
        <v>2</v>
      </c>
      <c r="K5" s="3">
        <v>640</v>
      </c>
      <c r="L5" s="3">
        <v>480</v>
      </c>
      <c r="M5" t="s">
        <v>112</v>
      </c>
    </row>
    <row r="6" spans="2:13" ht="18" customHeight="1" thickBot="1">
      <c r="B6" s="13" t="s">
        <v>17</v>
      </c>
      <c r="C6" s="28">
        <v>302</v>
      </c>
      <c r="D6" s="98" t="str">
        <f>IF(J2=TRUE,"invalid entry, enter 3, 101, 301, 302, 303, 601, 602, or 603",J3)</f>
        <v>enter IQeye number</v>
      </c>
      <c r="E6" s="104" t="s">
        <v>119</v>
      </c>
      <c r="F6" s="65"/>
      <c r="G6" s="33"/>
      <c r="H6" s="33"/>
      <c r="J6">
        <v>3</v>
      </c>
      <c r="K6">
        <v>1280</v>
      </c>
      <c r="L6">
        <v>1024</v>
      </c>
      <c r="M6" t="s">
        <v>112</v>
      </c>
    </row>
    <row r="7" spans="2:13" ht="12" customHeight="1">
      <c r="B7" s="14"/>
      <c r="C7" s="34"/>
      <c r="D7" s="12"/>
      <c r="E7" s="65"/>
      <c r="F7" s="65"/>
      <c r="G7" s="33"/>
      <c r="H7" s="33"/>
      <c r="J7">
        <v>101</v>
      </c>
      <c r="K7">
        <v>800</v>
      </c>
      <c r="L7">
        <v>600</v>
      </c>
      <c r="M7" t="s">
        <v>112</v>
      </c>
    </row>
    <row r="8" spans="2:14" ht="18" customHeight="1" thickBot="1">
      <c r="B8" s="12"/>
      <c r="C8" s="102" t="s">
        <v>117</v>
      </c>
      <c r="D8" s="103" t="s">
        <v>118</v>
      </c>
      <c r="E8" s="66"/>
      <c r="F8" s="33"/>
      <c r="G8" s="33"/>
      <c r="H8" s="33"/>
      <c r="J8">
        <v>301</v>
      </c>
      <c r="K8">
        <v>1280</v>
      </c>
      <c r="L8">
        <v>1024</v>
      </c>
      <c r="M8" t="s">
        <v>112</v>
      </c>
      <c r="N8" s="4"/>
    </row>
    <row r="9" spans="2:14" ht="18" customHeight="1" thickBot="1">
      <c r="B9" s="105" t="s">
        <v>120</v>
      </c>
      <c r="C9" s="29">
        <v>1600</v>
      </c>
      <c r="D9" s="28">
        <v>1200</v>
      </c>
      <c r="E9" s="106" t="s">
        <v>121</v>
      </c>
      <c r="F9" s="33"/>
      <c r="G9" s="33"/>
      <c r="H9" s="33"/>
      <c r="J9">
        <v>302</v>
      </c>
      <c r="K9">
        <v>1600</v>
      </c>
      <c r="L9">
        <v>1200</v>
      </c>
      <c r="M9" t="s">
        <v>112</v>
      </c>
      <c r="N9" s="3"/>
    </row>
    <row r="10" spans="2:14" ht="18" customHeight="1">
      <c r="B10" s="19"/>
      <c r="E10" s="32"/>
      <c r="F10" s="67"/>
      <c r="G10" s="67"/>
      <c r="H10" s="33"/>
      <c r="J10">
        <v>303</v>
      </c>
      <c r="K10">
        <v>2048</v>
      </c>
      <c r="L10">
        <v>1536</v>
      </c>
      <c r="M10" t="s">
        <v>112</v>
      </c>
      <c r="N10" s="4"/>
    </row>
    <row r="11" spans="2:14" ht="18" customHeight="1">
      <c r="B11" s="19"/>
      <c r="C11" s="19" t="s">
        <v>65</v>
      </c>
      <c r="D11" s="53" t="s">
        <v>66</v>
      </c>
      <c r="E11" s="32"/>
      <c r="F11" s="67"/>
      <c r="G11" s="67"/>
      <c r="H11" s="33"/>
      <c r="J11">
        <v>601</v>
      </c>
      <c r="K11">
        <v>1280</v>
      </c>
      <c r="L11">
        <v>1024</v>
      </c>
      <c r="M11" t="s">
        <v>112</v>
      </c>
      <c r="N11" s="4"/>
    </row>
    <row r="12" spans="2:14" ht="18" customHeight="1">
      <c r="B12" s="19"/>
      <c r="C12" s="99">
        <f>IF(K2=TRUE,0,K3)</f>
        <v>1600</v>
      </c>
      <c r="D12" s="99">
        <f>IF(L2=TRUE,0,L3)</f>
        <v>1200</v>
      </c>
      <c r="H12" s="33"/>
      <c r="J12">
        <v>602</v>
      </c>
      <c r="K12">
        <v>1600</v>
      </c>
      <c r="L12">
        <v>1200</v>
      </c>
      <c r="M12" t="s">
        <v>112</v>
      </c>
      <c r="N12" s="4"/>
    </row>
    <row r="13" spans="2:15" ht="12" customHeight="1" thickBot="1">
      <c r="B13" s="20"/>
      <c r="C13" s="32"/>
      <c r="D13" s="12"/>
      <c r="E13" s="66"/>
      <c r="F13" s="66"/>
      <c r="G13" s="33"/>
      <c r="H13" s="68"/>
      <c r="I13" s="3"/>
      <c r="J13">
        <v>603</v>
      </c>
      <c r="K13">
        <v>2048</v>
      </c>
      <c r="L13">
        <v>1536</v>
      </c>
      <c r="M13" t="s">
        <v>112</v>
      </c>
      <c r="N13" s="4"/>
      <c r="O13" s="3"/>
    </row>
    <row r="14" spans="2:15" ht="39" customHeight="1" thickBot="1">
      <c r="B14" s="105" t="s">
        <v>122</v>
      </c>
      <c r="C14" s="31" t="s">
        <v>70</v>
      </c>
      <c r="D14" s="20" t="str">
        <f>IF(compr="low","enter 'low'  'med'  'high'",IF(compr="med","enter 'low'  'med'  'high'",IF(compr="high","enter 'low'  'med'  'high'","not valid - please enter 'low'  'med' or 'high'")))</f>
        <v>enter 'low'  'med'  'high'</v>
      </c>
      <c r="E14" s="106" t="s">
        <v>123</v>
      </c>
      <c r="F14" s="33"/>
      <c r="G14" s="33"/>
      <c r="H14" s="68"/>
      <c r="I14" s="3"/>
      <c r="J14" s="3"/>
      <c r="K14" s="3"/>
      <c r="L14" s="3"/>
      <c r="M14" s="3"/>
      <c r="N14" s="3"/>
      <c r="O14" s="3"/>
    </row>
    <row r="15" spans="2:15" ht="21" customHeight="1">
      <c r="B15" s="19"/>
      <c r="C15" s="93"/>
      <c r="D15" s="20"/>
      <c r="E15" s="33"/>
      <c r="F15" s="33"/>
      <c r="G15" s="33"/>
      <c r="H15" s="68"/>
      <c r="I15" s="54"/>
      <c r="J15" s="3"/>
      <c r="K15" s="3"/>
      <c r="L15" s="3"/>
      <c r="M15" s="3"/>
      <c r="N15" s="4"/>
      <c r="O15" s="3"/>
    </row>
    <row r="16" spans="2:15" ht="21.75">
      <c r="B16" s="107" t="s">
        <v>124</v>
      </c>
      <c r="C16" s="15"/>
      <c r="D16" s="2"/>
      <c r="E16" s="13" t="s">
        <v>63</v>
      </c>
      <c r="F16" s="33"/>
      <c r="G16" s="33"/>
      <c r="H16" s="68"/>
      <c r="I16" s="3"/>
      <c r="J16" s="3"/>
      <c r="K16" s="4"/>
      <c r="L16" s="4"/>
      <c r="M16" s="4"/>
      <c r="N16" s="4"/>
      <c r="O16" s="3"/>
    </row>
    <row r="17" spans="2:15" ht="12" customHeight="1">
      <c r="B17" s="108" t="s">
        <v>125</v>
      </c>
      <c r="C17" s="11"/>
      <c r="D17" s="16"/>
      <c r="H17" s="68"/>
      <c r="I17" s="4"/>
      <c r="J17" s="3"/>
      <c r="M17" s="4"/>
      <c r="N17" s="4"/>
      <c r="O17" s="3"/>
    </row>
    <row r="18" spans="2:15" ht="23.25">
      <c r="B18" s="109" t="s">
        <v>126</v>
      </c>
      <c r="C18" s="25">
        <f>L72</f>
        <v>1.09375</v>
      </c>
      <c r="D18" s="111" t="s">
        <v>129</v>
      </c>
      <c r="E18" s="1" t="s">
        <v>95</v>
      </c>
      <c r="F18" s="49">
        <f>1/C18</f>
        <v>0.9142857142857143</v>
      </c>
      <c r="G18" s="82" t="s">
        <v>98</v>
      </c>
      <c r="H18" s="68"/>
      <c r="I18" s="38"/>
      <c r="J18" s="39"/>
      <c r="K18" s="40"/>
      <c r="L18" s="41"/>
      <c r="M18" s="42"/>
      <c r="N18" s="43"/>
      <c r="O18" s="3"/>
    </row>
    <row r="19" spans="2:15" ht="23.25">
      <c r="B19" s="109" t="s">
        <v>127</v>
      </c>
      <c r="C19" s="8">
        <f>L73*8</f>
        <v>1217.3913043478258</v>
      </c>
      <c r="D19" s="17" t="s">
        <v>130</v>
      </c>
      <c r="E19" s="1" t="s">
        <v>95</v>
      </c>
      <c r="F19" s="81">
        <f>C19/8</f>
        <v>152.17391304347822</v>
      </c>
      <c r="G19" s="82" t="s">
        <v>85</v>
      </c>
      <c r="H19" s="68"/>
      <c r="I19" s="38"/>
      <c r="J19" s="39"/>
      <c r="K19" s="40"/>
      <c r="L19" s="41"/>
      <c r="M19" s="42"/>
      <c r="N19" s="43"/>
      <c r="O19" s="3"/>
    </row>
    <row r="20" spans="1:15" ht="23.25">
      <c r="A20" s="12"/>
      <c r="B20" s="110" t="s">
        <v>128</v>
      </c>
      <c r="C20" s="83">
        <f>L61</f>
        <v>139.13043478260866</v>
      </c>
      <c r="D20" s="18" t="s">
        <v>14</v>
      </c>
      <c r="H20" s="68"/>
      <c r="I20" s="38"/>
      <c r="J20" s="39"/>
      <c r="K20" s="40"/>
      <c r="L20" s="41"/>
      <c r="M20" s="42"/>
      <c r="N20" s="43"/>
      <c r="O20" s="3"/>
    </row>
    <row r="21" spans="8:15" ht="12">
      <c r="H21" s="3"/>
      <c r="I21" s="38"/>
      <c r="J21" s="39"/>
      <c r="K21" s="40"/>
      <c r="L21" s="41"/>
      <c r="M21" s="42"/>
      <c r="N21" s="43"/>
      <c r="O21" s="3"/>
    </row>
    <row r="22" spans="2:15" ht="24.75" customHeight="1" thickBot="1">
      <c r="B22" s="107" t="s">
        <v>131</v>
      </c>
      <c r="C22" s="6"/>
      <c r="D22" s="2"/>
      <c r="H22" s="3"/>
      <c r="I22" s="38"/>
      <c r="J22" s="39"/>
      <c r="K22" s="40"/>
      <c r="L22" s="41"/>
      <c r="M22" s="42"/>
      <c r="N22" s="43"/>
      <c r="O22" s="3"/>
    </row>
    <row r="23" spans="2:15" ht="16.5" thickBot="1">
      <c r="B23" s="21" t="s">
        <v>10</v>
      </c>
      <c r="C23" s="31">
        <v>1</v>
      </c>
      <c r="D23" s="71" t="s">
        <v>9</v>
      </c>
      <c r="H23" s="3"/>
      <c r="I23" s="4"/>
      <c r="J23" s="3"/>
      <c r="K23" s="4"/>
      <c r="L23" s="4"/>
      <c r="M23" s="4"/>
      <c r="N23" s="4"/>
      <c r="O23" s="3"/>
    </row>
    <row r="24" spans="2:15" ht="27.75" customHeight="1" thickBot="1">
      <c r="B24" s="21" t="s">
        <v>104</v>
      </c>
      <c r="C24" s="31">
        <v>0.5</v>
      </c>
      <c r="D24" s="71" t="s">
        <v>18</v>
      </c>
      <c r="E24" s="13" t="s">
        <v>64</v>
      </c>
      <c r="G24" s="33"/>
      <c r="H24" s="3"/>
      <c r="I24" s="3"/>
      <c r="J24" s="3"/>
      <c r="K24" s="3"/>
      <c r="L24" s="3"/>
      <c r="M24" s="3"/>
      <c r="N24" s="3"/>
      <c r="O24" s="3"/>
    </row>
    <row r="25" spans="2:15" ht="24.75" customHeight="1" thickBot="1">
      <c r="B25" s="21" t="s">
        <v>103</v>
      </c>
      <c r="C25" s="31">
        <v>60</v>
      </c>
      <c r="D25" s="71" t="s">
        <v>101</v>
      </c>
      <c r="E25" s="91" t="s">
        <v>102</v>
      </c>
      <c r="G25" s="33"/>
      <c r="H25" s="3"/>
      <c r="I25" s="55"/>
      <c r="J25" s="39"/>
      <c r="K25" s="40"/>
      <c r="L25" s="56"/>
      <c r="M25" s="42"/>
      <c r="N25" s="43"/>
      <c r="O25" s="3"/>
    </row>
    <row r="26" spans="2:15" ht="12.75" customHeight="1">
      <c r="B26" s="21"/>
      <c r="C26" s="93"/>
      <c r="D26" s="71"/>
      <c r="E26" s="13"/>
      <c r="G26" s="33"/>
      <c r="H26" s="3"/>
      <c r="I26" s="3"/>
      <c r="J26" t="s">
        <v>82</v>
      </c>
      <c r="K26" s="48">
        <f>IQeye</f>
        <v>302</v>
      </c>
      <c r="L26" s="3"/>
      <c r="M26" s="3"/>
      <c r="N26" s="3"/>
      <c r="O26" s="3"/>
    </row>
    <row r="27" spans="1:15" s="12" customFormat="1" ht="36" customHeight="1">
      <c r="A27"/>
      <c r="B27" s="89" t="s">
        <v>105</v>
      </c>
      <c r="C27" s="90">
        <f>IF(C24&gt;C18,"fps not valid",C29/(C25*60)/C24)</f>
        <v>3.9930555555555567</v>
      </c>
      <c r="D27" s="9" t="s">
        <v>11</v>
      </c>
      <c r="E27" s="1" t="s">
        <v>106</v>
      </c>
      <c r="F27" s="94">
        <f>C27</f>
        <v>3.9930555555555567</v>
      </c>
      <c r="G27"/>
      <c r="H27"/>
      <c r="I27"/>
      <c r="J27"/>
      <c r="K27"/>
      <c r="L27"/>
      <c r="M27"/>
      <c r="N27"/>
      <c r="O27"/>
    </row>
    <row r="28" spans="2:15" ht="24.75" customHeight="1">
      <c r="B28" s="22" t="s">
        <v>6</v>
      </c>
      <c r="C28" s="97">
        <f>C29/86400/C18</f>
        <v>0.07605820105820107</v>
      </c>
      <c r="D28" s="9" t="s">
        <v>11</v>
      </c>
      <c r="E28" s="1" t="s">
        <v>106</v>
      </c>
      <c r="F28" s="95">
        <f>C28</f>
        <v>0.07605820105820107</v>
      </c>
      <c r="I28" s="12"/>
      <c r="J28" s="57" t="s">
        <v>16</v>
      </c>
      <c r="K28" s="3"/>
      <c r="L28" s="3"/>
      <c r="M28" s="3"/>
      <c r="N28" s="12"/>
      <c r="O28" s="12"/>
    </row>
    <row r="29" spans="2:13" ht="24.75" customHeight="1">
      <c r="B29" s="23" t="s">
        <v>15</v>
      </c>
      <c r="C29" s="52">
        <f>C23*1000000/C20</f>
        <v>7187.500000000002</v>
      </c>
      <c r="D29" s="10"/>
      <c r="I29" s="3"/>
      <c r="J29" s="3"/>
      <c r="K29" s="4"/>
      <c r="L29" s="4"/>
      <c r="M29" s="4"/>
    </row>
    <row r="30" spans="2:13" ht="24.75" customHeight="1">
      <c r="B30" s="50"/>
      <c r="C30" s="8"/>
      <c r="D30" s="51"/>
      <c r="I30" s="58"/>
      <c r="J30" s="59" t="s">
        <v>2</v>
      </c>
      <c r="K30" s="4"/>
      <c r="L30" s="4"/>
      <c r="M30" s="4"/>
    </row>
    <row r="31" spans="2:13" ht="24.75" customHeight="1" thickBot="1">
      <c r="B31" s="107" t="s">
        <v>132</v>
      </c>
      <c r="C31" s="72"/>
      <c r="D31" s="76"/>
      <c r="E31" s="2"/>
      <c r="I31" s="3"/>
      <c r="J31" s="3"/>
      <c r="K31" s="4" t="s">
        <v>69</v>
      </c>
      <c r="L31" s="4" t="s">
        <v>81</v>
      </c>
      <c r="M31" s="4"/>
    </row>
    <row r="32" spans="2:13" ht="24.75" customHeight="1" thickBot="1">
      <c r="B32" s="21" t="s">
        <v>7</v>
      </c>
      <c r="C32" s="30">
        <v>100000</v>
      </c>
      <c r="D32" s="75" t="s">
        <v>5</v>
      </c>
      <c r="E32" s="77" t="s">
        <v>62</v>
      </c>
      <c r="I32" s="3"/>
      <c r="J32" s="59">
        <v>3</v>
      </c>
      <c r="K32" s="60">
        <v>60</v>
      </c>
      <c r="L32" s="61">
        <v>2.1</v>
      </c>
      <c r="M32" s="60"/>
    </row>
    <row r="33" spans="2:13" ht="24.75" customHeight="1" thickBot="1">
      <c r="B33" s="73"/>
      <c r="C33" s="92">
        <v>0.7</v>
      </c>
      <c r="D33" s="75" t="s">
        <v>96</v>
      </c>
      <c r="E33" s="78"/>
      <c r="H33" s="37"/>
      <c r="J33" s="59">
        <v>101</v>
      </c>
      <c r="K33" s="60">
        <v>60</v>
      </c>
      <c r="L33" s="61">
        <v>2.1</v>
      </c>
      <c r="M33" s="60"/>
    </row>
    <row r="34" spans="2:12" ht="24.75" customHeight="1">
      <c r="B34" s="22" t="s">
        <v>8</v>
      </c>
      <c r="C34" s="87">
        <f>L80</f>
        <v>1.09375</v>
      </c>
      <c r="D34" s="85" t="s">
        <v>0</v>
      </c>
      <c r="E34" s="78"/>
      <c r="H34" s="37"/>
      <c r="J34" s="37">
        <v>301</v>
      </c>
      <c r="K34" s="46">
        <v>60</v>
      </c>
      <c r="L34" s="47">
        <v>2.1</v>
      </c>
    </row>
    <row r="35" spans="2:12" ht="24.75" customHeight="1">
      <c r="B35" s="22" t="s">
        <v>100</v>
      </c>
      <c r="C35" s="88">
        <f>L79*8</f>
        <v>1217.3913043478258</v>
      </c>
      <c r="D35" s="85" t="s">
        <v>13</v>
      </c>
      <c r="E35" s="78"/>
      <c r="H35" s="37"/>
      <c r="J35" s="37">
        <v>302</v>
      </c>
      <c r="K35" s="46">
        <v>60</v>
      </c>
      <c r="L35" s="47">
        <v>2.1</v>
      </c>
    </row>
    <row r="36" spans="2:12" ht="24.75" customHeight="1">
      <c r="B36" s="84" t="s">
        <v>99</v>
      </c>
      <c r="C36" s="96">
        <f>IF(C24&gt;L80,"fps not valid",C29/86400/C24)</f>
        <v>0.16637731481481485</v>
      </c>
      <c r="D36" s="86" t="s">
        <v>11</v>
      </c>
      <c r="E36" s="74"/>
      <c r="F36" s="1" t="s">
        <v>106</v>
      </c>
      <c r="G36" s="94">
        <f>C36</f>
        <v>0.16637731481481485</v>
      </c>
      <c r="H36" s="37"/>
      <c r="J36" s="37">
        <v>303</v>
      </c>
      <c r="K36" s="46">
        <v>60</v>
      </c>
      <c r="L36" s="47">
        <v>2.1</v>
      </c>
    </row>
    <row r="37" spans="5:12" ht="24.75" customHeight="1">
      <c r="E37" t="s">
        <v>108</v>
      </c>
      <c r="J37" s="37">
        <v>601</v>
      </c>
      <c r="K37" s="46">
        <v>60</v>
      </c>
      <c r="L37" s="47">
        <v>40</v>
      </c>
    </row>
    <row r="38" spans="2:12" ht="24.75" customHeight="1">
      <c r="B38" t="s">
        <v>1</v>
      </c>
      <c r="C38" s="5"/>
      <c r="D38" s="51"/>
      <c r="J38" s="37">
        <v>602</v>
      </c>
      <c r="K38" s="46">
        <v>60</v>
      </c>
      <c r="L38" s="47">
        <v>40</v>
      </c>
    </row>
    <row r="39" spans="2:12" ht="24.75" customHeight="1">
      <c r="B39" s="50"/>
      <c r="C39" s="7"/>
      <c r="D39" s="51"/>
      <c r="J39" s="37">
        <v>603</v>
      </c>
      <c r="K39" s="46">
        <v>60</v>
      </c>
      <c r="L39" s="47">
        <v>40</v>
      </c>
    </row>
    <row r="40" ht="24.75" customHeight="1">
      <c r="B40" s="37" t="s">
        <v>61</v>
      </c>
    </row>
    <row r="41" spans="2:15" ht="24.75" customHeight="1">
      <c r="B41" s="35" t="s">
        <v>19</v>
      </c>
      <c r="C41" s="35" t="s">
        <v>20</v>
      </c>
      <c r="D41" s="36" t="s">
        <v>21</v>
      </c>
      <c r="E41" s="36" t="s">
        <v>22</v>
      </c>
      <c r="F41" s="36" t="s">
        <v>23</v>
      </c>
      <c r="G41" s="36" t="s">
        <v>24</v>
      </c>
      <c r="J41" s="37" t="s">
        <v>76</v>
      </c>
      <c r="O41" s="36"/>
    </row>
    <row r="42" spans="2:15" ht="12">
      <c r="B42" s="35" t="s">
        <v>25</v>
      </c>
      <c r="C42" s="35" t="s">
        <v>26</v>
      </c>
      <c r="D42" s="35" t="s">
        <v>27</v>
      </c>
      <c r="E42" s="35" t="s">
        <v>28</v>
      </c>
      <c r="F42" s="35" t="s">
        <v>29</v>
      </c>
      <c r="G42" s="35" t="s">
        <v>30</v>
      </c>
      <c r="J42" s="35" t="s">
        <v>64</v>
      </c>
      <c r="K42" s="35" t="s">
        <v>73</v>
      </c>
      <c r="L42" s="36" t="s">
        <v>68</v>
      </c>
      <c r="M42" s="36" t="s">
        <v>70</v>
      </c>
      <c r="N42" s="36" t="s">
        <v>71</v>
      </c>
      <c r="O42" s="35"/>
    </row>
    <row r="43" spans="2:15" ht="15.75">
      <c r="B43" s="35" t="s">
        <v>31</v>
      </c>
      <c r="C43" s="35" t="s">
        <v>32</v>
      </c>
      <c r="D43" s="35" t="s">
        <v>33</v>
      </c>
      <c r="E43" s="35" t="s">
        <v>34</v>
      </c>
      <c r="F43" s="35" t="s">
        <v>35</v>
      </c>
      <c r="G43" s="35" t="s">
        <v>28</v>
      </c>
      <c r="J43" s="35" t="s">
        <v>97</v>
      </c>
      <c r="K43" s="62">
        <v>0</v>
      </c>
      <c r="L43" s="62">
        <v>2.2</v>
      </c>
      <c r="M43" s="62">
        <v>4.5</v>
      </c>
      <c r="N43" s="62">
        <v>6.5</v>
      </c>
      <c r="O43" s="35"/>
    </row>
    <row r="44" spans="2:15" ht="15.75">
      <c r="B44" s="35" t="s">
        <v>36</v>
      </c>
      <c r="C44" s="35" t="s">
        <v>37</v>
      </c>
      <c r="D44" s="35" t="s">
        <v>38</v>
      </c>
      <c r="E44" s="35" t="s">
        <v>39</v>
      </c>
      <c r="F44" s="35" t="s">
        <v>40</v>
      </c>
      <c r="G44" s="35" t="s">
        <v>27</v>
      </c>
      <c r="J44" s="35" t="s">
        <v>26</v>
      </c>
      <c r="K44" s="62">
        <f>320*240/1000000</f>
        <v>0.0768</v>
      </c>
      <c r="L44" s="62">
        <v>2.6</v>
      </c>
      <c r="M44" s="62">
        <v>5.1</v>
      </c>
      <c r="N44" s="62">
        <v>7.4</v>
      </c>
      <c r="O44" s="35"/>
    </row>
    <row r="45" spans="2:15" ht="15.75">
      <c r="B45" s="35" t="s">
        <v>41</v>
      </c>
      <c r="C45" s="35" t="s">
        <v>67</v>
      </c>
      <c r="D45" s="35" t="s">
        <v>42</v>
      </c>
      <c r="E45" s="35" t="s">
        <v>33</v>
      </c>
      <c r="F45" s="35" t="s">
        <v>43</v>
      </c>
      <c r="G45" s="35" t="s">
        <v>44</v>
      </c>
      <c r="J45" s="35" t="s">
        <v>32</v>
      </c>
      <c r="K45" s="62">
        <f>640*480/1000000</f>
        <v>0.3072</v>
      </c>
      <c r="L45" s="62">
        <v>3.1</v>
      </c>
      <c r="M45" s="62">
        <v>7.7</v>
      </c>
      <c r="N45" s="62">
        <v>11.2</v>
      </c>
      <c r="O45" s="35"/>
    </row>
    <row r="46" spans="10:15" ht="30" customHeight="1">
      <c r="J46" s="35" t="s">
        <v>107</v>
      </c>
      <c r="K46" s="62">
        <v>0.48</v>
      </c>
      <c r="L46" s="62">
        <v>3.9</v>
      </c>
      <c r="M46" s="62">
        <v>8.9</v>
      </c>
      <c r="N46" s="62">
        <v>13.4</v>
      </c>
      <c r="O46" s="35"/>
    </row>
    <row r="47" spans="2:14" ht="15.75">
      <c r="B47" s="37" t="s">
        <v>4</v>
      </c>
      <c r="J47" s="35" t="s">
        <v>37</v>
      </c>
      <c r="K47" s="62">
        <f>1024*768/1000000</f>
        <v>0.786432</v>
      </c>
      <c r="L47" s="62">
        <v>4.4</v>
      </c>
      <c r="M47" s="62">
        <v>9.8</v>
      </c>
      <c r="N47" s="62">
        <v>15.3</v>
      </c>
    </row>
    <row r="48" spans="2:14" ht="15.75">
      <c r="B48" s="35" t="s">
        <v>45</v>
      </c>
      <c r="C48" s="35" t="s">
        <v>20</v>
      </c>
      <c r="D48" s="36" t="s">
        <v>21</v>
      </c>
      <c r="E48" s="36" t="s">
        <v>22</v>
      </c>
      <c r="F48" s="36" t="s">
        <v>23</v>
      </c>
      <c r="G48" s="36" t="s">
        <v>24</v>
      </c>
      <c r="J48" s="35" t="s">
        <v>67</v>
      </c>
      <c r="K48" s="62">
        <f>1280*1024/1000000</f>
        <v>1.31072</v>
      </c>
      <c r="L48" s="62">
        <v>5.7</v>
      </c>
      <c r="M48" s="62">
        <v>12.9</v>
      </c>
      <c r="N48" s="62">
        <v>18.5</v>
      </c>
    </row>
    <row r="49" spans="2:14" ht="15.75">
      <c r="B49" s="35">
        <v>5.1</v>
      </c>
      <c r="C49" s="35" t="s">
        <v>26</v>
      </c>
      <c r="D49" s="35" t="s">
        <v>46</v>
      </c>
      <c r="E49" s="35" t="s">
        <v>47</v>
      </c>
      <c r="F49" s="35" t="s">
        <v>48</v>
      </c>
      <c r="G49" s="35" t="s">
        <v>49</v>
      </c>
      <c r="J49" s="35" t="s">
        <v>72</v>
      </c>
      <c r="K49" s="62">
        <f>1600*1200/1000000</f>
        <v>1.92</v>
      </c>
      <c r="L49" s="62">
        <v>6.9</v>
      </c>
      <c r="M49" s="62">
        <v>13.8</v>
      </c>
      <c r="N49" s="62">
        <v>21</v>
      </c>
    </row>
    <row r="50" spans="2:14" ht="15.75">
      <c r="B50" s="35">
        <v>7.7</v>
      </c>
      <c r="C50" s="35" t="s">
        <v>32</v>
      </c>
      <c r="D50" s="35" t="s">
        <v>46</v>
      </c>
      <c r="E50" s="35" t="s">
        <v>50</v>
      </c>
      <c r="F50" s="35" t="s">
        <v>51</v>
      </c>
      <c r="G50" s="35" t="s">
        <v>52</v>
      </c>
      <c r="J50" s="35" t="s">
        <v>113</v>
      </c>
      <c r="K50" s="62">
        <f>2048*1536/1000000</f>
        <v>3.145728</v>
      </c>
      <c r="L50" s="62">
        <v>7.3</v>
      </c>
      <c r="M50" s="62">
        <v>14.5</v>
      </c>
      <c r="N50" s="62">
        <v>22.8</v>
      </c>
    </row>
    <row r="51" spans="2:14" ht="15.75">
      <c r="B51" s="35">
        <v>9.8</v>
      </c>
      <c r="C51" s="35" t="s">
        <v>37</v>
      </c>
      <c r="D51" s="35" t="s">
        <v>53</v>
      </c>
      <c r="E51" s="35" t="s">
        <v>54</v>
      </c>
      <c r="F51" s="35" t="s">
        <v>55</v>
      </c>
      <c r="G51" s="35" t="s">
        <v>56</v>
      </c>
      <c r="J51" s="35"/>
      <c r="K51" s="62"/>
      <c r="L51" s="62"/>
      <c r="M51" s="62"/>
      <c r="N51" s="62"/>
    </row>
    <row r="52" spans="2:14" ht="15.75">
      <c r="B52" s="35">
        <v>11.3</v>
      </c>
      <c r="C52" s="35" t="s">
        <v>67</v>
      </c>
      <c r="D52" s="35" t="s">
        <v>53</v>
      </c>
      <c r="E52" s="35" t="s">
        <v>57</v>
      </c>
      <c r="F52" s="35" t="s">
        <v>58</v>
      </c>
      <c r="G52" s="35" t="s">
        <v>56</v>
      </c>
      <c r="J52" s="35"/>
      <c r="K52" s="62"/>
      <c r="L52" s="62"/>
      <c r="M52" s="62"/>
      <c r="N52" s="62"/>
    </row>
    <row r="53" spans="10:14" ht="15.75">
      <c r="J53" s="35"/>
      <c r="K53" s="62"/>
      <c r="L53" s="62"/>
      <c r="M53" s="62"/>
      <c r="N53" s="62"/>
    </row>
    <row r="54" spans="2:7" ht="12">
      <c r="B54" t="s">
        <v>59</v>
      </c>
      <c r="C54" s="33"/>
      <c r="D54" s="33"/>
      <c r="E54" s="33"/>
      <c r="F54" s="33"/>
      <c r="G54" s="33"/>
    </row>
    <row r="55" spans="2:14" ht="15.75">
      <c r="B55" t="s">
        <v>60</v>
      </c>
      <c r="C55" s="33"/>
      <c r="D55" s="33"/>
      <c r="E55" s="33"/>
      <c r="F55" s="33"/>
      <c r="G55" s="33"/>
      <c r="J55" s="37" t="s">
        <v>75</v>
      </c>
      <c r="L55" s="36" t="s">
        <v>68</v>
      </c>
      <c r="M55" s="36" t="s">
        <v>70</v>
      </c>
      <c r="N55" s="36" t="s">
        <v>71</v>
      </c>
    </row>
    <row r="56" spans="3:14" ht="12">
      <c r="C56" s="33"/>
      <c r="D56" s="33"/>
      <c r="E56" s="33"/>
      <c r="F56" s="33"/>
      <c r="G56" s="33"/>
      <c r="J56" t="s">
        <v>74</v>
      </c>
      <c r="K56" s="45">
        <f>width*height/1000000</f>
        <v>1.92</v>
      </c>
      <c r="L56" s="35">
        <f>VLOOKUP(usermegapixels,lookuppixelsperbyte,2)</f>
        <v>6.9</v>
      </c>
      <c r="M56" s="35">
        <f>VLOOKUP(usermegapixels,lookuppixelsperbyte,3)</f>
        <v>13.8</v>
      </c>
      <c r="N56" s="35">
        <f>VLOOKUP(usermegapixels,lookuppixelsperbyte,4)</f>
        <v>21</v>
      </c>
    </row>
    <row r="57" spans="3:14" ht="15.75">
      <c r="C57" s="69"/>
      <c r="D57" s="70"/>
      <c r="E57" s="33"/>
      <c r="F57" s="33"/>
      <c r="G57" s="33"/>
      <c r="L57" s="35"/>
      <c r="M57" s="35"/>
      <c r="N57" s="35"/>
    </row>
    <row r="58" spans="3:12" ht="12">
      <c r="C58" s="33"/>
      <c r="D58" s="33"/>
      <c r="E58" s="33"/>
      <c r="F58" s="33"/>
      <c r="G58" s="33"/>
      <c r="L58" s="64" t="s">
        <v>3</v>
      </c>
    </row>
    <row r="59" spans="3:12" ht="12">
      <c r="C59" s="33"/>
      <c r="D59" s="33"/>
      <c r="E59" s="33"/>
      <c r="F59" s="33"/>
      <c r="G59" s="33"/>
      <c r="K59" t="s">
        <v>77</v>
      </c>
      <c r="L59" s="1" t="str">
        <f>compr</f>
        <v>med</v>
      </c>
    </row>
    <row r="60" spans="3:12" ht="12">
      <c r="C60" s="33"/>
      <c r="D60" s="33"/>
      <c r="E60" s="33"/>
      <c r="F60" s="33"/>
      <c r="G60" s="33"/>
      <c r="K60" s="1" t="s">
        <v>78</v>
      </c>
      <c r="L60" s="63">
        <f>IF(L59=L55,L56,IF(L59=M55,M56,IF(L59=N55,N56,0)))</f>
        <v>13.8</v>
      </c>
    </row>
    <row r="61" spans="3:13" ht="12">
      <c r="C61" s="33"/>
      <c r="D61" s="33"/>
      <c r="E61" s="33"/>
      <c r="F61" s="33"/>
      <c r="G61" s="33"/>
      <c r="K61" t="s">
        <v>79</v>
      </c>
      <c r="L61" s="49">
        <f>usermegapixels/pixelsperbyte*1000</f>
        <v>139.13043478260866</v>
      </c>
      <c r="M61" t="s">
        <v>14</v>
      </c>
    </row>
    <row r="62" spans="3:7" ht="18.75" customHeight="1">
      <c r="C62" s="33"/>
      <c r="D62" s="33"/>
      <c r="E62" s="33"/>
      <c r="F62" s="33"/>
      <c r="G62" s="33"/>
    </row>
    <row r="63" spans="3:12" ht="12">
      <c r="C63" s="33"/>
      <c r="D63" s="33"/>
      <c r="E63" s="33"/>
      <c r="F63" s="33"/>
      <c r="G63" s="33"/>
      <c r="K63" t="s">
        <v>80</v>
      </c>
      <c r="L63">
        <f>VLOOKUP(IQeye,cammegapixelperf,3)</f>
        <v>2.1</v>
      </c>
    </row>
    <row r="64" spans="3:7" ht="12">
      <c r="C64" s="33"/>
      <c r="D64" s="33"/>
      <c r="E64" s="33"/>
      <c r="F64" s="33"/>
      <c r="G64" s="33"/>
    </row>
    <row r="65" spans="3:13" ht="12">
      <c r="C65" s="33"/>
      <c r="D65" s="33"/>
      <c r="E65" s="33"/>
      <c r="F65" s="33"/>
      <c r="G65" s="33"/>
      <c r="K65" t="s">
        <v>83</v>
      </c>
      <c r="L65" s="49">
        <f>L63/usermegapixels</f>
        <v>1.09375</v>
      </c>
      <c r="M65" t="s">
        <v>84</v>
      </c>
    </row>
    <row r="66" spans="3:7" ht="12">
      <c r="C66" s="33"/>
      <c r="D66" s="33"/>
      <c r="E66" s="33"/>
      <c r="F66" s="33"/>
      <c r="G66" s="33"/>
    </row>
    <row r="67" spans="3:12" ht="12">
      <c r="C67" s="33"/>
      <c r="D67" s="33"/>
      <c r="E67" s="33"/>
      <c r="F67" s="33"/>
      <c r="G67" s="33"/>
      <c r="L67" s="44"/>
    </row>
    <row r="68" spans="3:7" ht="12">
      <c r="C68" s="33"/>
      <c r="D68" s="33"/>
      <c r="E68" s="33"/>
      <c r="F68" s="33"/>
      <c r="G68" s="33"/>
    </row>
    <row r="69" spans="3:12" ht="12">
      <c r="C69" s="33"/>
      <c r="D69" s="33"/>
      <c r="E69" s="33"/>
      <c r="F69" s="33"/>
      <c r="G69" s="33"/>
      <c r="K69" t="s">
        <v>87</v>
      </c>
      <c r="L69">
        <f>VLOOKUP(IQeye,cammegapixelperf,2)</f>
        <v>60</v>
      </c>
    </row>
    <row r="71" ht="12">
      <c r="J71" t="s">
        <v>92</v>
      </c>
    </row>
    <row r="72" spans="10:12" ht="12">
      <c r="J72" t="s">
        <v>91</v>
      </c>
      <c r="K72" t="s">
        <v>93</v>
      </c>
      <c r="L72">
        <f>IF(L69&lt;L65,L69,L65)</f>
        <v>1.09375</v>
      </c>
    </row>
    <row r="73" spans="11:13" ht="12">
      <c r="K73" t="s">
        <v>94</v>
      </c>
      <c r="L73" s="79">
        <f>L72*L61</f>
        <v>152.17391304347822</v>
      </c>
      <c r="M73" t="s">
        <v>85</v>
      </c>
    </row>
    <row r="74" ht="12">
      <c r="L74" s="79"/>
    </row>
    <row r="77" ht="12">
      <c r="J77" t="s">
        <v>90</v>
      </c>
    </row>
    <row r="78" spans="11:13" ht="12">
      <c r="K78" t="s">
        <v>86</v>
      </c>
      <c r="L78" s="44">
        <f>C32/8*utilization</f>
        <v>8750</v>
      </c>
      <c r="M78" t="s">
        <v>85</v>
      </c>
    </row>
    <row r="79" spans="11:13" ht="12">
      <c r="K79" t="s">
        <v>88</v>
      </c>
      <c r="L79" s="79">
        <f>IF(L78&lt;L73,L78,L73)</f>
        <v>152.17391304347822</v>
      </c>
      <c r="M79" t="s">
        <v>85</v>
      </c>
    </row>
    <row r="80" spans="11:13" ht="12">
      <c r="K80" t="s">
        <v>89</v>
      </c>
      <c r="L80" s="80">
        <f>L79/L61</f>
        <v>1.09375</v>
      </c>
      <c r="M80" t="s">
        <v>84</v>
      </c>
    </row>
  </sheetData>
  <printOptions/>
  <pageMargins left="0.3937007874015748" right="0.3937007874015748" top="0.3937007874015748" bottom="0.3937007874015748" header="0.5118110236220472" footer="0.5118110236220472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IQinVision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Davitt</dc:creator>
  <cp:keywords/>
  <dc:description/>
  <cp:lastModifiedBy>CURVE</cp:lastModifiedBy>
  <cp:lastPrinted>2006-03-03T08:14:34Z</cp:lastPrinted>
  <dcterms:created xsi:type="dcterms:W3CDTF">2002-02-04T23:47:26Z</dcterms:created>
  <dcterms:modified xsi:type="dcterms:W3CDTF">2006-05-25T01:46:20Z</dcterms:modified>
  <cp:category/>
  <cp:version/>
  <cp:contentType/>
  <cp:contentStatus/>
</cp:coreProperties>
</file>